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iz-storage1\duhsan$\globalnaturefund\Daten\Mittelbeschaffung\BMZ-GTZ\BMZ 2021\Georgien\Antrag\"/>
    </mc:Choice>
  </mc:AlternateContent>
  <bookViews>
    <workbookView xWindow="0" yWindow="0" windowWidth="28800" windowHeight="12590" tabRatio="989"/>
  </bookViews>
  <sheets>
    <sheet name="BMZ Budget" sheetId="1" r:id="rId1"/>
    <sheet name="Personalkosten" sheetId="3" r:id="rId2"/>
  </sheets>
  <calcPr calcId="162913"/>
</workbook>
</file>

<file path=xl/calcChain.xml><?xml version="1.0" encoding="utf-8"?>
<calcChain xmlns="http://schemas.openxmlformats.org/spreadsheetml/2006/main">
  <c r="H56" i="1" l="1"/>
  <c r="H55" i="1"/>
  <c r="D14" i="1" l="1"/>
  <c r="E14" i="1"/>
  <c r="E48" i="1" s="1"/>
  <c r="F14" i="1"/>
  <c r="F48" i="1" s="1"/>
  <c r="G25" i="1"/>
  <c r="D48" i="1"/>
  <c r="D18" i="1"/>
  <c r="E18" i="1" s="1"/>
  <c r="F27" i="1"/>
  <c r="I5" i="3" l="1"/>
  <c r="I13" i="3"/>
  <c r="I6" i="3"/>
  <c r="I7" i="3"/>
  <c r="I8" i="3"/>
  <c r="I9" i="3"/>
  <c r="I10" i="3"/>
  <c r="I11" i="3"/>
  <c r="I12" i="3"/>
  <c r="C15" i="1" l="1"/>
  <c r="G51" i="1"/>
  <c r="H13" i="3"/>
  <c r="H12" i="3"/>
  <c r="H11" i="3"/>
  <c r="H10" i="3"/>
  <c r="H9" i="3"/>
  <c r="H8" i="3"/>
  <c r="H7" i="3"/>
  <c r="H6" i="3"/>
  <c r="H5" i="3"/>
  <c r="G68" i="1" l="1"/>
  <c r="F37" i="1" l="1"/>
  <c r="F38" i="1"/>
  <c r="F39" i="1"/>
  <c r="F40" i="1"/>
  <c r="E37" i="1"/>
  <c r="E38" i="1"/>
  <c r="E39" i="1"/>
  <c r="E40" i="1"/>
  <c r="D36" i="1"/>
  <c r="D37" i="1"/>
  <c r="D38" i="1"/>
  <c r="D39" i="1"/>
  <c r="D40" i="1"/>
  <c r="C38" i="1"/>
  <c r="C39" i="1"/>
  <c r="C40" i="1"/>
  <c r="B39" i="1"/>
  <c r="B40" i="1"/>
  <c r="H14" i="3"/>
  <c r="D33" i="1"/>
  <c r="D34" i="1"/>
  <c r="D35" i="1"/>
  <c r="E33" i="1"/>
  <c r="E34" i="1"/>
  <c r="E35" i="1"/>
  <c r="E36" i="1"/>
  <c r="F33" i="1"/>
  <c r="F34" i="1"/>
  <c r="F35" i="1"/>
  <c r="F36" i="1"/>
  <c r="F32" i="1"/>
  <c r="E32" i="1"/>
  <c r="D32" i="1"/>
  <c r="C33" i="1"/>
  <c r="C34" i="1"/>
  <c r="C35" i="1"/>
  <c r="C36" i="1"/>
  <c r="C37" i="1"/>
  <c r="C32" i="1"/>
  <c r="B37" i="1"/>
  <c r="B38" i="1"/>
  <c r="B36" i="1"/>
  <c r="B35" i="1"/>
  <c r="B32" i="1"/>
  <c r="B34" i="1"/>
  <c r="B33" i="1"/>
  <c r="J12" i="3"/>
  <c r="J11" i="3"/>
  <c r="J10" i="3"/>
  <c r="J9" i="3"/>
  <c r="J8" i="3"/>
  <c r="J7" i="3"/>
  <c r="J6" i="3"/>
  <c r="J14" i="3"/>
  <c r="J5" i="3"/>
  <c r="G22" i="1"/>
  <c r="G23" i="1"/>
  <c r="G24" i="1"/>
  <c r="G30" i="1"/>
  <c r="G29" i="1"/>
  <c r="E27" i="1" l="1"/>
  <c r="C27" i="1"/>
  <c r="D27" i="1"/>
  <c r="G40" i="1"/>
  <c r="G39" i="1"/>
  <c r="G38" i="1"/>
  <c r="G34" i="1"/>
  <c r="G35" i="1"/>
  <c r="G37" i="1"/>
  <c r="D31" i="1"/>
  <c r="C31" i="1"/>
  <c r="G32" i="1"/>
  <c r="G33" i="1"/>
  <c r="G36" i="1"/>
  <c r="K14" i="3"/>
  <c r="E43" i="1"/>
  <c r="E41" i="1"/>
  <c r="E9" i="1"/>
  <c r="C14" i="1" l="1"/>
  <c r="C48" i="1" s="1"/>
  <c r="G48" i="1" s="1"/>
  <c r="G27" i="1"/>
  <c r="G14" i="1" s="1"/>
  <c r="C11" i="1"/>
  <c r="H14" i="1" l="1"/>
  <c r="G12" i="1"/>
  <c r="E25" i="1"/>
  <c r="D25" i="1"/>
  <c r="C25" i="1"/>
  <c r="E31" i="1" l="1"/>
  <c r="D43" i="1" l="1"/>
  <c r="F43" i="1"/>
  <c r="C43" i="1"/>
  <c r="G43" i="1" l="1"/>
  <c r="D41" i="1" l="1"/>
  <c r="F41" i="1"/>
  <c r="C41" i="1"/>
  <c r="G42" i="1" l="1"/>
  <c r="F31" i="1" l="1"/>
  <c r="G31" i="1" s="1"/>
  <c r="C9" i="1"/>
  <c r="D9" i="1"/>
  <c r="F9" i="1"/>
  <c r="G41" i="1"/>
  <c r="G13" i="1"/>
  <c r="G26" i="1"/>
  <c r="G21" i="1"/>
  <c r="G20" i="1"/>
  <c r="G19" i="1"/>
  <c r="G17" i="1"/>
  <c r="G16" i="1"/>
  <c r="G15" i="1"/>
  <c r="G11" i="1"/>
  <c r="G10" i="1"/>
  <c r="E28" i="1" l="1"/>
  <c r="E49" i="1" s="1"/>
  <c r="E50" i="1" s="1"/>
  <c r="C28" i="1"/>
  <c r="F28" i="1"/>
  <c r="F49" i="1" s="1"/>
  <c r="F50" i="1" s="1"/>
  <c r="F56" i="1" s="1"/>
  <c r="D28" i="1"/>
  <c r="G9" i="1"/>
  <c r="G18" i="1"/>
  <c r="G28" i="1" l="1"/>
  <c r="E52" i="1"/>
  <c r="E56" i="1"/>
  <c r="C49" i="1"/>
  <c r="G49" i="1" s="1"/>
  <c r="F52" i="1"/>
  <c r="F55" i="1" s="1"/>
  <c r="D49" i="1"/>
  <c r="D50" i="1" s="1"/>
  <c r="D56" i="1" s="1"/>
  <c r="E53" i="1" l="1"/>
  <c r="E57" i="1" s="1"/>
  <c r="E55" i="1"/>
  <c r="E58" i="1" s="1"/>
  <c r="D52" i="1"/>
  <c r="D55" i="1" s="1"/>
  <c r="F53" i="1"/>
  <c r="F57" i="1" s="1"/>
  <c r="C50" i="1"/>
  <c r="C56" i="1" s="1"/>
  <c r="F58" i="1" l="1"/>
  <c r="G56" i="1"/>
  <c r="D53" i="1"/>
  <c r="D57" i="1" s="1"/>
  <c r="C52" i="1"/>
  <c r="C55" i="1" s="1"/>
  <c r="G50" i="1"/>
  <c r="D58" i="1" l="1"/>
  <c r="G55" i="1"/>
  <c r="C53" i="1"/>
  <c r="C57" i="1" s="1"/>
  <c r="C58" i="1" s="1"/>
  <c r="G52" i="1"/>
  <c r="G53" i="1" l="1"/>
  <c r="G57" i="1" s="1"/>
  <c r="G58" i="1" l="1"/>
</calcChain>
</file>

<file path=xl/sharedStrings.xml><?xml version="1.0" encoding="utf-8"?>
<sst xmlns="http://schemas.openxmlformats.org/spreadsheetml/2006/main" count="122" uniqueCount="116">
  <si>
    <t>No</t>
  </si>
  <si>
    <t>Position - Deutsch</t>
  </si>
  <si>
    <t>Total</t>
  </si>
  <si>
    <t>For investments</t>
  </si>
  <si>
    <t>For operating costs</t>
  </si>
  <si>
    <t>For staff</t>
  </si>
  <si>
    <t>Für Projektbesuche (GNF)</t>
  </si>
  <si>
    <t>Gesamtprojektkosten</t>
  </si>
  <si>
    <t>Mittelreserve (3,5%)</t>
  </si>
  <si>
    <t>Zwischensumme</t>
  </si>
  <si>
    <t>Administration (10%, GNF)</t>
  </si>
  <si>
    <t>GESAMT</t>
  </si>
  <si>
    <t>Explanations</t>
  </si>
  <si>
    <t>Can include: Constrcutions, buildings, construction land, equipment, machines for production, computers, furniture etc.</t>
  </si>
  <si>
    <t>Running costs, e.g. office rent, communications, electricity, office stationaries, local travel expenses, workshops, meetings, trainings, external services required etc.</t>
  </si>
  <si>
    <t>Staff hired for the project. Required information: Function of the staff member, working percentage and annual gross employer's costs</t>
  </si>
  <si>
    <t>Summe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</si>
  <si>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</si>
  <si>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</si>
  <si>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</si>
  <si>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</si>
  <si>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</si>
  <si>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</si>
  <si>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</si>
  <si>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</si>
  <si>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</si>
  <si>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</si>
  <si>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</si>
  <si>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</si>
  <si>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</si>
  <si>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</si>
  <si>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</si>
  <si>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</si>
  <si>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</si>
  <si>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</si>
  <si>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</si>
  <si>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</si>
  <si>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</si>
  <si>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</si>
  <si>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</si>
  <si>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</si>
  <si>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</si>
  <si>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</si>
  <si>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</si>
  <si>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</si>
  <si>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</si>
  <si>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</t>
  </si>
  <si>
    <t>Cost breakdown between donors</t>
  </si>
  <si>
    <t>5</t>
  </si>
  <si>
    <t>5.1</t>
  </si>
  <si>
    <t>5.2</t>
  </si>
  <si>
    <t>5.3</t>
  </si>
  <si>
    <t>5.4</t>
  </si>
  <si>
    <t>Für Investitionen</t>
  </si>
  <si>
    <t>Für Betriebskosten</t>
  </si>
  <si>
    <t>Für Personalkosten</t>
  </si>
  <si>
    <t>Für Evaluierung/Machbarkeitsstudie</t>
  </si>
  <si>
    <t>(not needed)</t>
  </si>
  <si>
    <t>(filled by GNF)</t>
  </si>
  <si>
    <t>Control</t>
  </si>
  <si>
    <t>GNF contribution</t>
  </si>
  <si>
    <t>Local contribution</t>
  </si>
  <si>
    <t>Official BMZ Budget - project budget</t>
  </si>
  <si>
    <t xml:space="preserve">Budget Position </t>
  </si>
  <si>
    <t>(Personal)</t>
  </si>
  <si>
    <t>Monatsgehalt (Brutto) bei Vollzeit</t>
  </si>
  <si>
    <t>Anzahl der Monate/  Beschäftigungsumfang in %</t>
  </si>
  <si>
    <t>SUMME €</t>
  </si>
  <si>
    <t>Projektmitarbeiter*in (Wirtschaft)</t>
  </si>
  <si>
    <t>Projektmitarbeiter*in (Biodiverisität)</t>
  </si>
  <si>
    <t>Landwirtschaftsfachkraft</t>
  </si>
  <si>
    <t xml:space="preserve">landwirtschaftl. Assistenz 1  </t>
  </si>
  <si>
    <t>Planung des landwirtschaftlichen Modellbetriebs und Analyse zur Rekultivierung</t>
  </si>
  <si>
    <t xml:space="preserve">Anlegen und Rekultivieren des Demonstrationsprojektes </t>
  </si>
  <si>
    <t xml:space="preserve">Training of Trainers (ToT)  </t>
  </si>
  <si>
    <t>Versicherungen Mitarbeiter (Unfall, Kranken, Haftpflicht)</t>
  </si>
  <si>
    <t>Fahrzeug / Geräte, Verschleiß, Unterhaltung</t>
  </si>
  <si>
    <t>Nutzfahrzeug</t>
  </si>
  <si>
    <t>Expected project start</t>
  </si>
  <si>
    <t>Expected project termination</t>
  </si>
  <si>
    <t>2.14.</t>
  </si>
  <si>
    <t>2.15.</t>
  </si>
  <si>
    <t>Entwicklung Leitfaden für Geschäftsmodelle für Pro-Biodiversitäts-Unternehmen in Georgien</t>
  </si>
  <si>
    <t>Teilnahme an internationalen Tagungen zum Thema Biodiversität</t>
  </si>
  <si>
    <t>Seminare mit Unternehmen/Gründer*innen nd Unternehmensnetzwerken zu Pro-Biodiversitäts-Geschäftsmodellen</t>
  </si>
  <si>
    <t>Veranstaltungen des Runden Tisches</t>
  </si>
  <si>
    <t>Analyse, Leitfaden und Handreichung zu einer ersten Regionalmarke in West-Georgien</t>
  </si>
  <si>
    <t>2.16.</t>
  </si>
  <si>
    <t>Konzeption eines modularen Schulungsprogramms zur biologischen Vielfalt für die berufliche Aus-, Fort- und Weiterbildung</t>
  </si>
  <si>
    <t>landwirtschaftl. Assistenz 3</t>
  </si>
  <si>
    <t>landwirtschaftl. Assistenz 2</t>
  </si>
  <si>
    <t>ursprünglich</t>
  </si>
  <si>
    <t>3.9.</t>
  </si>
  <si>
    <t>Anzahl der Monate</t>
  </si>
  <si>
    <t>BMZ 75%</t>
  </si>
  <si>
    <t>490.000 EUR</t>
  </si>
  <si>
    <t>Prüfung</t>
  </si>
  <si>
    <t>Kommunikations- und Marketingkonzept zur Verbreitung/Bewerbung in der Region.</t>
  </si>
  <si>
    <t xml:space="preserve">Aktionstage mit der lokalen Bevölkerung in Martvili. </t>
  </si>
  <si>
    <t>Miete für das Projektbüro</t>
  </si>
  <si>
    <t>Inventar und Möbel für das Büro, Meeting Raum und Betriebsküche</t>
  </si>
  <si>
    <t>Technische Ausstattung Technische Ausstattung des Projekt-Teams</t>
  </si>
  <si>
    <t xml:space="preserve">Ausrüstung und Gerätschaften für den Landwirtschaftlichen Modelbetrieb. </t>
  </si>
  <si>
    <t>Projektmanagement</t>
  </si>
  <si>
    <t>Beschäftigungsanteil im Projekt in %</t>
  </si>
  <si>
    <t>Degression</t>
  </si>
  <si>
    <t>c. Nein, diese Ausgabe wurde nicht degressive angesetzt (siehe Erläuterung)</t>
  </si>
  <si>
    <t>b. Ja, diese Ausgabe wurde degressiv angesetzt</t>
  </si>
  <si>
    <t>a. nein, diese Aufgabe Entfällt bei Projektende</t>
  </si>
  <si>
    <t>Projektmitarbeiter*in</t>
  </si>
  <si>
    <t>Büroassistenz</t>
  </si>
  <si>
    <t>Finanzen</t>
  </si>
  <si>
    <t>Technik/Logistik/Veranstaltungen</t>
  </si>
  <si>
    <t xml:space="preserve">landwirtschaftl. Assistenz  </t>
  </si>
  <si>
    <t>Wirtschaftsprüfung</t>
  </si>
  <si>
    <t>Aufsetzen der Webseite und kontinuierliches Webmanagement, Layouting und Desgin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</si>
</sst>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\-??\ _€_-;_-@_-"/>
    <numFmt numFmtId="165" formatCode="_-* #,##0\ &quot;€&quot;_-;\-* #,##0\ &quot;€&quot;_-;_-* &quot;-&quot;??\ &quot;€&quot;_-;_-@_-"/>
    <numFmt numFmtId="166" formatCode="_-* #,##0.00\ _€_-;\-* #,##0.00\ _€_-;_-* &quot;-&quot;??\ _€_-;_-@_-"/>
    <numFmt numFmtId="167" formatCode="_-* #,##0\ _€_-;\-* #,##0\ _€_-;_-* \-??\ _€_-;_-@_-"/>
    <numFmt numFmtId="168" formatCode="_-* #,##0.0\ _€_-;\-* #,##0.0\ _€_-;_-* \-??\ _€_-;_-@_-"/>
    <numFmt numFmtId="169" formatCode="_-* #,##0.0\ &quot;€&quot;_-;\-* #,##0.0\ &quot;€&quot;_-;_-* &quot;-&quot;??\ &quot;€&quot;_-;_-@_-"/>
    <numFmt numFmtId="170" formatCode="0.0%"/>
  </numFmts>
  <fonts count="19" x14ac:knownFonts="1">
    <font>
      <sz val="11"/>
      <color rgb="FF000000"/>
      <name val="Calibri"/>
      <family val="2"/>
      <charset val="1"/>
    </font>
    <font>
      <b/>
      <sz val="15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2" tint="-0.499984740745262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rgb="FFCCCCFF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Border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/>
    <xf numFmtId="4" fontId="3" fillId="0" borderId="0" xfId="0" applyNumberFormat="1" applyFont="1" applyBorder="1"/>
    <xf numFmtId="4" fontId="2" fillId="0" borderId="0" xfId="0" applyNumberFormat="1" applyFont="1" applyBorder="1"/>
    <xf numFmtId="0" fontId="0" fillId="0" borderId="0" xfId="0" applyBorder="1"/>
    <xf numFmtId="49" fontId="2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4" fillId="0" borderId="0" xfId="0" applyFont="1" applyBorder="1"/>
    <xf numFmtId="0" fontId="6" fillId="0" borderId="0" xfId="0" applyFont="1" applyBorder="1"/>
    <xf numFmtId="4" fontId="6" fillId="0" borderId="0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9" fillId="0" borderId="0" xfId="0" applyFont="1"/>
    <xf numFmtId="0" fontId="0" fillId="0" borderId="0" xfId="0" applyFont="1"/>
    <xf numFmtId="0" fontId="2" fillId="0" borderId="5" xfId="0" applyFont="1" applyBorder="1"/>
    <xf numFmtId="49" fontId="8" fillId="0" borderId="4" xfId="0" applyNumberFormat="1" applyFont="1" applyFill="1" applyBorder="1"/>
    <xf numFmtId="0" fontId="10" fillId="0" borderId="0" xfId="0" applyFont="1"/>
    <xf numFmtId="0" fontId="8" fillId="0" borderId="0" xfId="0" applyFont="1"/>
    <xf numFmtId="0" fontId="8" fillId="0" borderId="0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49" fontId="13" fillId="2" borderId="3" xfId="0" applyNumberFormat="1" applyFont="1" applyFill="1" applyBorder="1"/>
    <xf numFmtId="0" fontId="13" fillId="2" borderId="11" xfId="0" applyFont="1" applyFill="1" applyBorder="1"/>
    <xf numFmtId="0" fontId="13" fillId="0" borderId="0" xfId="0" applyFont="1"/>
    <xf numFmtId="49" fontId="8" fillId="0" borderId="3" xfId="0" applyNumberFormat="1" applyFont="1" applyFill="1" applyBorder="1"/>
    <xf numFmtId="49" fontId="8" fillId="0" borderId="2" xfId="0" applyNumberFormat="1" applyFont="1" applyFill="1" applyBorder="1"/>
    <xf numFmtId="0" fontId="8" fillId="0" borderId="0" xfId="0" applyFont="1" applyBorder="1"/>
    <xf numFmtId="0" fontId="13" fillId="2" borderId="6" xfId="0" applyFont="1" applyFill="1" applyBorder="1"/>
    <xf numFmtId="49" fontId="13" fillId="2" borderId="4" xfId="0" applyNumberFormat="1" applyFont="1" applyFill="1" applyBorder="1"/>
    <xf numFmtId="0" fontId="13" fillId="2" borderId="13" xfId="0" applyFont="1" applyFill="1" applyBorder="1"/>
    <xf numFmtId="0" fontId="13" fillId="0" borderId="0" xfId="0" applyFont="1" applyBorder="1"/>
    <xf numFmtId="0" fontId="8" fillId="0" borderId="14" xfId="0" applyFont="1" applyBorder="1" applyAlignment="1">
      <alignment horizontal="left" vertical="top" wrapText="1"/>
    </xf>
    <xf numFmtId="49" fontId="8" fillId="0" borderId="4" xfId="0" applyNumberFormat="1" applyFont="1" applyBorder="1"/>
    <xf numFmtId="49" fontId="8" fillId="0" borderId="5" xfId="0" applyNumberFormat="1" applyFont="1" applyBorder="1"/>
    <xf numFmtId="0" fontId="13" fillId="2" borderId="3" xfId="0" applyFont="1" applyFill="1" applyBorder="1"/>
    <xf numFmtId="0" fontId="8" fillId="0" borderId="5" xfId="0" applyFont="1" applyBorder="1"/>
    <xf numFmtId="49" fontId="8" fillId="0" borderId="2" xfId="0" applyNumberFormat="1" applyFont="1" applyBorder="1"/>
    <xf numFmtId="0" fontId="8" fillId="0" borderId="2" xfId="0" applyFont="1" applyBorder="1"/>
    <xf numFmtId="49" fontId="13" fillId="3" borderId="3" xfId="0" applyNumberFormat="1" applyFont="1" applyFill="1" applyBorder="1"/>
    <xf numFmtId="0" fontId="13" fillId="3" borderId="6" xfId="0" applyFont="1" applyFill="1" applyBorder="1"/>
    <xf numFmtId="49" fontId="13" fillId="0" borderId="7" xfId="0" applyNumberFormat="1" applyFont="1" applyBorder="1"/>
    <xf numFmtId="0" fontId="13" fillId="0" borderId="8" xfId="0" applyFont="1" applyBorder="1"/>
    <xf numFmtId="49" fontId="8" fillId="3" borderId="2" xfId="0" applyNumberFormat="1" applyFont="1" applyFill="1" applyBorder="1"/>
    <xf numFmtId="0" fontId="8" fillId="3" borderId="0" xfId="0" applyFont="1" applyFill="1" applyBorder="1"/>
    <xf numFmtId="49" fontId="13" fillId="3" borderId="5" xfId="0" applyNumberFormat="1" applyFont="1" applyFill="1" applyBorder="1"/>
    <xf numFmtId="0" fontId="13" fillId="3" borderId="9" xfId="0" applyFont="1" applyFill="1" applyBorder="1"/>
    <xf numFmtId="44" fontId="9" fillId="0" borderId="0" xfId="2" applyFont="1" applyBorder="1"/>
    <xf numFmtId="49" fontId="13" fillId="0" borderId="0" xfId="0" applyNumberFormat="1" applyFont="1" applyBorder="1"/>
    <xf numFmtId="164" fontId="13" fillId="2" borderId="3" xfId="1" applyFont="1" applyFill="1" applyBorder="1" applyAlignment="1" applyProtection="1"/>
    <xf numFmtId="4" fontId="15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14" fontId="0" fillId="0" borderId="0" xfId="0" applyNumberFormat="1"/>
    <xf numFmtId="0" fontId="8" fillId="0" borderId="15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/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9" fontId="12" fillId="0" borderId="16" xfId="0" applyNumberFormat="1" applyFont="1" applyBorder="1" applyAlignment="1">
      <alignment vertical="center" wrapText="1"/>
    </xf>
    <xf numFmtId="6" fontId="12" fillId="0" borderId="16" xfId="0" applyNumberFormat="1" applyFont="1" applyBorder="1" applyAlignment="1">
      <alignment vertical="center" wrapText="1"/>
    </xf>
    <xf numFmtId="9" fontId="12" fillId="0" borderId="16" xfId="3" applyFont="1" applyBorder="1" applyAlignment="1">
      <alignment vertical="center" wrapText="1"/>
    </xf>
    <xf numFmtId="9" fontId="0" fillId="0" borderId="16" xfId="0" applyNumberFormat="1" applyBorder="1"/>
    <xf numFmtId="165" fontId="13" fillId="0" borderId="0" xfId="2" applyNumberFormat="1" applyFont="1"/>
    <xf numFmtId="165" fontId="0" fillId="0" borderId="0" xfId="2" applyNumberFormat="1" applyFont="1"/>
    <xf numFmtId="165" fontId="3" fillId="0" borderId="0" xfId="0" applyNumberFormat="1" applyFont="1"/>
    <xf numFmtId="6" fontId="12" fillId="0" borderId="13" xfId="0" applyNumberFormat="1" applyFont="1" applyBorder="1" applyAlignment="1">
      <alignment vertical="center" wrapText="1"/>
    </xf>
    <xf numFmtId="6" fontId="13" fillId="0" borderId="1" xfId="0" applyNumberFormat="1" applyFont="1" applyBorder="1"/>
    <xf numFmtId="164" fontId="13" fillId="0" borderId="0" xfId="0" applyNumberFormat="1" applyFont="1" applyBorder="1"/>
    <xf numFmtId="44" fontId="16" fillId="0" borderId="0" xfId="2" applyFont="1" applyFill="1" applyBorder="1" applyAlignment="1">
      <alignment vertical="top"/>
    </xf>
    <xf numFmtId="165" fontId="16" fillId="0" borderId="0" xfId="2" applyNumberFormat="1" applyFont="1" applyFill="1" applyBorder="1" applyAlignment="1">
      <alignment vertical="top"/>
    </xf>
    <xf numFmtId="0" fontId="0" fillId="0" borderId="14" xfId="0" applyBorder="1"/>
    <xf numFmtId="0" fontId="8" fillId="0" borderId="11" xfId="0" applyFont="1" applyBorder="1"/>
    <xf numFmtId="0" fontId="8" fillId="0" borderId="12" xfId="0" applyFont="1" applyBorder="1" applyAlignment="1">
      <alignment horizontal="center"/>
    </xf>
    <xf numFmtId="164" fontId="13" fillId="2" borderId="2" xfId="1" applyFont="1" applyFill="1" applyBorder="1" applyAlignment="1" applyProtection="1"/>
    <xf numFmtId="0" fontId="14" fillId="0" borderId="16" xfId="0" applyFont="1" applyBorder="1" applyAlignment="1">
      <alignment horizontal="center"/>
    </xf>
    <xf numFmtId="166" fontId="8" fillId="0" borderId="0" xfId="0" applyNumberFormat="1" applyFont="1"/>
    <xf numFmtId="167" fontId="8" fillId="0" borderId="2" xfId="1" applyNumberFormat="1" applyFont="1" applyFill="1" applyBorder="1" applyAlignment="1" applyProtection="1"/>
    <xf numFmtId="167" fontId="8" fillId="0" borderId="2" xfId="0" applyNumberFormat="1" applyFont="1" applyFill="1" applyBorder="1"/>
    <xf numFmtId="167" fontId="13" fillId="2" borderId="3" xfId="1" applyNumberFormat="1" applyFont="1" applyFill="1" applyBorder="1" applyAlignment="1" applyProtection="1"/>
    <xf numFmtId="167" fontId="14" fillId="0" borderId="2" xfId="1" applyNumberFormat="1" applyFont="1" applyFill="1" applyBorder="1" applyAlignment="1" applyProtection="1"/>
    <xf numFmtId="167" fontId="8" fillId="0" borderId="0" xfId="0" applyNumberFormat="1" applyFont="1" applyAlignment="1">
      <alignment vertical="center"/>
    </xf>
    <xf numFmtId="167" fontId="8" fillId="0" borderId="10" xfId="0" applyNumberFormat="1" applyFont="1" applyFill="1" applyBorder="1"/>
    <xf numFmtId="167" fontId="8" fillId="0" borderId="10" xfId="1" applyNumberFormat="1" applyFont="1" applyFill="1" applyBorder="1" applyAlignment="1" applyProtection="1">
      <alignment horizontal="center"/>
    </xf>
    <xf numFmtId="167" fontId="14" fillId="0" borderId="2" xfId="1" applyNumberFormat="1" applyFont="1" applyBorder="1" applyAlignment="1" applyProtection="1"/>
    <xf numFmtId="167" fontId="13" fillId="2" borderId="12" xfId="0" applyNumberFormat="1" applyFont="1" applyFill="1" applyBorder="1"/>
    <xf numFmtId="167" fontId="13" fillId="2" borderId="3" xfId="0" applyNumberFormat="1" applyFont="1" applyFill="1" applyBorder="1"/>
    <xf numFmtId="167" fontId="14" fillId="0" borderId="5" xfId="1" applyNumberFormat="1" applyFont="1" applyBorder="1" applyAlignment="1" applyProtection="1"/>
    <xf numFmtId="167" fontId="8" fillId="0" borderId="5" xfId="1" applyNumberFormat="1" applyFont="1" applyBorder="1" applyAlignment="1" applyProtection="1"/>
    <xf numFmtId="167" fontId="8" fillId="0" borderId="2" xfId="1" applyNumberFormat="1" applyFont="1" applyBorder="1" applyAlignment="1" applyProtection="1"/>
    <xf numFmtId="167" fontId="13" fillId="3" borderId="3" xfId="0" applyNumberFormat="1" applyFont="1" applyFill="1" applyBorder="1"/>
    <xf numFmtId="167" fontId="13" fillId="0" borderId="7" xfId="0" applyNumberFormat="1" applyFont="1" applyBorder="1"/>
    <xf numFmtId="167" fontId="8" fillId="3" borderId="2" xfId="0" applyNumberFormat="1" applyFont="1" applyFill="1" applyBorder="1"/>
    <xf numFmtId="167" fontId="13" fillId="3" borderId="5" xfId="0" applyNumberFormat="1" applyFont="1" applyFill="1" applyBorder="1"/>
    <xf numFmtId="167" fontId="14" fillId="3" borderId="2" xfId="0" applyNumberFormat="1" applyFont="1" applyFill="1" applyBorder="1"/>
    <xf numFmtId="49" fontId="8" fillId="3" borderId="4" xfId="0" applyNumberFormat="1" applyFont="1" applyFill="1" applyBorder="1"/>
    <xf numFmtId="0" fontId="17" fillId="5" borderId="18" xfId="0" applyFont="1" applyFill="1" applyBorder="1"/>
    <xf numFmtId="3" fontId="17" fillId="6" borderId="17" xfId="0" applyNumberFormat="1" applyFont="1" applyFill="1" applyBorder="1"/>
    <xf numFmtId="3" fontId="17" fillId="6" borderId="19" xfId="0" applyNumberFormat="1" applyFont="1" applyFill="1" applyBorder="1"/>
    <xf numFmtId="49" fontId="8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vertical="center"/>
    </xf>
    <xf numFmtId="167" fontId="8" fillId="0" borderId="10" xfId="1" applyNumberFormat="1" applyFont="1" applyFill="1" applyBorder="1" applyAlignment="1" applyProtection="1"/>
    <xf numFmtId="167" fontId="14" fillId="0" borderId="10" xfId="1" applyNumberFormat="1" applyFont="1" applyFill="1" applyBorder="1" applyAlignment="1" applyProtection="1"/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164" fontId="8" fillId="0" borderId="16" xfId="0" applyNumberFormat="1" applyFont="1" applyFill="1" applyBorder="1" applyAlignment="1">
      <alignment wrapText="1"/>
    </xf>
    <xf numFmtId="164" fontId="8" fillId="0" borderId="16" xfId="0" applyNumberFormat="1" applyFont="1" applyFill="1" applyBorder="1" applyAlignment="1">
      <alignment vertical="top" wrapText="1"/>
    </xf>
    <xf numFmtId="165" fontId="18" fillId="0" borderId="0" xfId="2" applyNumberFormat="1" applyFont="1" applyFill="1" applyBorder="1" applyAlignment="1">
      <alignment vertical="top"/>
    </xf>
    <xf numFmtId="44" fontId="18" fillId="0" borderId="0" xfId="2" applyFont="1" applyFill="1" applyBorder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/>
    <xf numFmtId="2" fontId="0" fillId="0" borderId="0" xfId="0" applyNumberFormat="1"/>
    <xf numFmtId="0" fontId="8" fillId="0" borderId="0" xfId="0" applyFont="1" applyAlignment="1">
      <alignment vertical="top"/>
    </xf>
    <xf numFmtId="167" fontId="8" fillId="0" borderId="0" xfId="0" applyNumberFormat="1" applyFont="1"/>
    <xf numFmtId="168" fontId="9" fillId="3" borderId="5" xfId="0" applyNumberFormat="1" applyFont="1" applyFill="1" applyBorder="1"/>
    <xf numFmtId="165" fontId="9" fillId="0" borderId="0" xfId="2" applyNumberFormat="1" applyFont="1" applyFill="1" applyBorder="1" applyAlignment="1">
      <alignment vertical="top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69" fontId="16" fillId="0" borderId="0" xfId="2" applyNumberFormat="1" applyFont="1" applyFill="1" applyBorder="1" applyAlignment="1">
      <alignment vertical="top"/>
    </xf>
    <xf numFmtId="170" fontId="13" fillId="0" borderId="0" xfId="3" applyNumberFormat="1" applyFont="1" applyBorder="1"/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7E6E6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42" zoomScaleNormal="100" workbookViewId="0">
      <pane xSplit="2" topLeftCell="D1" activePane="topRight" state="frozen"/>
      <selection pane="topRight" activeCell="H56" sqref="H56"/>
    </sheetView>
  </sheetViews>
  <sheetFormatPr baseColWidth="10" defaultColWidth="9.1796875" defaultRowHeight="14.5" x14ac:dyDescent="0.35"/>
  <cols>
    <col min="1" max="1" width="8"/>
    <col min="2" max="2" width="41.26953125" customWidth="1"/>
    <col min="3" max="3" width="20.81640625" customWidth="1"/>
    <col min="4" max="4" width="17.453125" customWidth="1"/>
    <col min="5" max="5" width="18.26953125" customWidth="1"/>
    <col min="6" max="6" width="16.1796875" style="2" customWidth="1"/>
    <col min="7" max="7" width="24.54296875" customWidth="1"/>
    <col min="8" max="8" width="37.81640625" customWidth="1"/>
    <col min="9" max="9" width="13.81640625" bestFit="1" customWidth="1"/>
    <col min="17" max="17" width="7.7265625" customWidth="1"/>
  </cols>
  <sheetData>
    <row r="1" spans="1:17" ht="19.5" x14ac:dyDescent="0.45">
      <c r="A1" s="1" t="s">
        <v>62</v>
      </c>
      <c r="P1" s="2"/>
      <c r="Q1" s="2"/>
    </row>
    <row r="2" spans="1:17" ht="19.5" x14ac:dyDescent="0.45">
      <c r="A2" s="1"/>
      <c r="P2" s="2"/>
      <c r="Q2" s="2"/>
    </row>
    <row r="3" spans="1:17" x14ac:dyDescent="0.35">
      <c r="B3" s="23" t="s">
        <v>78</v>
      </c>
      <c r="C3" s="61">
        <v>44866</v>
      </c>
      <c r="H3" t="s">
        <v>105</v>
      </c>
      <c r="P3" s="2"/>
      <c r="Q3" s="2"/>
    </row>
    <row r="4" spans="1:17" x14ac:dyDescent="0.35">
      <c r="B4" s="20" t="s">
        <v>79</v>
      </c>
      <c r="C4" s="61">
        <v>46022</v>
      </c>
      <c r="H4" s="128" t="s">
        <v>108</v>
      </c>
      <c r="P4" s="2"/>
      <c r="Q4" s="2"/>
    </row>
    <row r="5" spans="1:17" ht="20.5" customHeight="1" x14ac:dyDescent="0.35">
      <c r="C5" s="19"/>
      <c r="E5" s="2"/>
      <c r="F5"/>
      <c r="H5" s="128" t="s">
        <v>107</v>
      </c>
      <c r="P5" s="2"/>
      <c r="Q5" s="2"/>
    </row>
    <row r="6" spans="1:17" s="2" customFormat="1" ht="19.5" customHeight="1" thickBot="1" x14ac:dyDescent="0.4">
      <c r="A6" s="24"/>
      <c r="B6" s="24"/>
      <c r="H6" s="128" t="s">
        <v>106</v>
      </c>
      <c r="I6" s="24"/>
    </row>
    <row r="7" spans="1:17" ht="15.65" customHeight="1" thickBot="1" x14ac:dyDescent="0.4">
      <c r="A7" s="26" t="s">
        <v>0</v>
      </c>
      <c r="B7" s="26" t="s">
        <v>1</v>
      </c>
      <c r="C7" s="29">
        <v>2022</v>
      </c>
      <c r="D7" s="29">
        <v>2023</v>
      </c>
      <c r="E7" s="29">
        <v>2024</v>
      </c>
      <c r="F7" s="29">
        <v>2025</v>
      </c>
      <c r="G7" s="27" t="s">
        <v>2</v>
      </c>
      <c r="H7" s="24"/>
      <c r="I7" s="24"/>
      <c r="P7" s="2"/>
      <c r="Q7" s="2"/>
    </row>
    <row r="8" spans="1:17" s="2" customFormat="1" ht="15.65" customHeight="1" thickBot="1" x14ac:dyDescent="0.4">
      <c r="A8" s="28"/>
      <c r="B8" s="83" t="s">
        <v>93</v>
      </c>
      <c r="C8" s="86">
        <v>2</v>
      </c>
      <c r="D8" s="86">
        <v>12</v>
      </c>
      <c r="E8" s="86">
        <v>12</v>
      </c>
      <c r="F8" s="86">
        <v>12</v>
      </c>
      <c r="G8" s="84"/>
      <c r="H8" s="24"/>
      <c r="I8" s="24"/>
    </row>
    <row r="9" spans="1:17" s="4" customFormat="1" ht="15" thickBot="1" x14ac:dyDescent="0.4">
      <c r="A9" s="30" t="s">
        <v>17</v>
      </c>
      <c r="B9" s="31" t="s">
        <v>53</v>
      </c>
      <c r="C9" s="85">
        <f>SUM(C10:C13)</f>
        <v>54600</v>
      </c>
      <c r="D9" s="85">
        <f>SUM(D10:D13)</f>
        <v>15600</v>
      </c>
      <c r="E9" s="85">
        <f>SUM(E10:E13)</f>
        <v>0</v>
      </c>
      <c r="F9" s="85">
        <f>SUM(F10:F13)</f>
        <v>0</v>
      </c>
      <c r="G9" s="57">
        <f>SUM(G10:G13)</f>
        <v>70200</v>
      </c>
      <c r="H9" s="32"/>
      <c r="I9" s="32"/>
      <c r="P9" s="2"/>
      <c r="Q9" s="2"/>
    </row>
    <row r="10" spans="1:17" ht="29" x14ac:dyDescent="0.35">
      <c r="A10" s="33" t="s">
        <v>18</v>
      </c>
      <c r="B10" s="62" t="s">
        <v>100</v>
      </c>
      <c r="C10" s="88">
        <v>10000</v>
      </c>
      <c r="D10" s="89">
        <v>4500</v>
      </c>
      <c r="E10" s="89">
        <v>0</v>
      </c>
      <c r="F10" s="89">
        <v>0</v>
      </c>
      <c r="G10" s="89">
        <f t="shared" ref="G10:G13" si="0">SUM(C10:F10)</f>
        <v>14500</v>
      </c>
      <c r="H10" s="24"/>
      <c r="I10" s="24"/>
      <c r="P10" s="2"/>
      <c r="Q10" s="2"/>
    </row>
    <row r="11" spans="1:17" s="4" customFormat="1" ht="29" x14ac:dyDescent="0.35">
      <c r="A11" s="34" t="s">
        <v>19</v>
      </c>
      <c r="B11" s="25" t="s">
        <v>101</v>
      </c>
      <c r="C11" s="88">
        <f>10700-D11</f>
        <v>9600</v>
      </c>
      <c r="D11" s="89">
        <v>1100</v>
      </c>
      <c r="E11" s="89">
        <v>0</v>
      </c>
      <c r="F11" s="89">
        <v>0</v>
      </c>
      <c r="G11" s="89">
        <f t="shared" si="0"/>
        <v>10700</v>
      </c>
      <c r="H11" s="32"/>
      <c r="I11" s="32"/>
      <c r="P11" s="2"/>
      <c r="Q11" s="2"/>
    </row>
    <row r="12" spans="1:17" x14ac:dyDescent="0.35">
      <c r="A12" s="34" t="s">
        <v>20</v>
      </c>
      <c r="B12" s="25" t="s">
        <v>77</v>
      </c>
      <c r="C12" s="88">
        <v>35000</v>
      </c>
      <c r="D12" s="88">
        <v>0</v>
      </c>
      <c r="E12" s="88">
        <v>0</v>
      </c>
      <c r="F12" s="88">
        <v>0</v>
      </c>
      <c r="G12" s="88">
        <f t="shared" si="0"/>
        <v>35000</v>
      </c>
      <c r="H12" s="24"/>
      <c r="I12" s="24"/>
      <c r="P12" s="2"/>
      <c r="Q12" s="2"/>
    </row>
    <row r="13" spans="1:17" ht="29.5" thickBot="1" x14ac:dyDescent="0.4">
      <c r="A13" s="34" t="s">
        <v>21</v>
      </c>
      <c r="B13" s="124" t="s">
        <v>102</v>
      </c>
      <c r="C13" s="88">
        <v>0</v>
      </c>
      <c r="D13" s="88">
        <v>10000</v>
      </c>
      <c r="E13" s="88">
        <v>0</v>
      </c>
      <c r="F13" s="88">
        <v>0</v>
      </c>
      <c r="G13" s="88">
        <f t="shared" si="0"/>
        <v>10000</v>
      </c>
      <c r="H13" s="24"/>
      <c r="I13" s="24"/>
      <c r="P13" s="2"/>
      <c r="Q13" s="2"/>
    </row>
    <row r="14" spans="1:17" x14ac:dyDescent="0.35">
      <c r="A14" s="30" t="s">
        <v>22</v>
      </c>
      <c r="B14" s="36" t="s">
        <v>54</v>
      </c>
      <c r="C14" s="90">
        <f t="shared" ref="C14:E14" si="1">SUM(C15:C30)</f>
        <v>16508.888888888891</v>
      </c>
      <c r="D14" s="90">
        <f t="shared" si="1"/>
        <v>91285.333333333328</v>
      </c>
      <c r="E14" s="90">
        <f t="shared" si="1"/>
        <v>81087.333333333328</v>
      </c>
      <c r="F14" s="90">
        <f>SUM(F15:F30)</f>
        <v>32012.444444444445</v>
      </c>
      <c r="G14" s="90">
        <f>SUM(G15:G30)</f>
        <v>220894</v>
      </c>
      <c r="H14" s="129">
        <f>SUM(G15:G30)</f>
        <v>220894</v>
      </c>
      <c r="I14" s="24"/>
      <c r="P14" s="2"/>
      <c r="Q14" s="2"/>
    </row>
    <row r="15" spans="1:17" ht="32.5" customHeight="1" x14ac:dyDescent="0.35">
      <c r="A15" s="110" t="s">
        <v>23</v>
      </c>
      <c r="B15" s="115" t="s">
        <v>72</v>
      </c>
      <c r="C15" s="113">
        <f>11610+1500+750</f>
        <v>13860</v>
      </c>
      <c r="D15" s="88">
        <v>0</v>
      </c>
      <c r="E15" s="88">
        <v>0</v>
      </c>
      <c r="F15" s="88">
        <v>0</v>
      </c>
      <c r="G15" s="88">
        <f t="shared" ref="G15:G24" si="2">SUM(C15:F15)</f>
        <v>13860</v>
      </c>
      <c r="H15" s="24"/>
      <c r="I15" s="24"/>
      <c r="P15" s="2"/>
      <c r="Q15" s="2"/>
    </row>
    <row r="16" spans="1:17" ht="27" customHeight="1" x14ac:dyDescent="0.35">
      <c r="A16" s="110" t="s">
        <v>24</v>
      </c>
      <c r="B16" s="116" t="s">
        <v>73</v>
      </c>
      <c r="C16" s="113">
        <v>0</v>
      </c>
      <c r="D16" s="88">
        <v>60000</v>
      </c>
      <c r="E16" s="88">
        <v>20000</v>
      </c>
      <c r="F16" s="88"/>
      <c r="G16" s="88">
        <f t="shared" si="2"/>
        <v>80000</v>
      </c>
      <c r="H16" s="24"/>
      <c r="I16" s="24"/>
      <c r="P16" s="2"/>
      <c r="Q16" s="2"/>
    </row>
    <row r="17" spans="1:17" x14ac:dyDescent="0.35">
      <c r="A17" s="110" t="s">
        <v>25</v>
      </c>
      <c r="B17" s="116" t="s">
        <v>74</v>
      </c>
      <c r="C17" s="113"/>
      <c r="D17" s="88">
        <v>2592</v>
      </c>
      <c r="E17" s="91">
        <v>3200</v>
      </c>
      <c r="F17" s="88"/>
      <c r="G17" s="88">
        <f t="shared" si="2"/>
        <v>5792</v>
      </c>
      <c r="H17" s="24"/>
      <c r="I17" s="24"/>
      <c r="P17" s="2"/>
      <c r="Q17" s="2"/>
    </row>
    <row r="18" spans="1:17" ht="29" x14ac:dyDescent="0.35">
      <c r="A18" s="110" t="s">
        <v>26</v>
      </c>
      <c r="B18" s="117" t="s">
        <v>82</v>
      </c>
      <c r="C18" s="113"/>
      <c r="D18" s="88">
        <f>500*5</f>
        <v>2500</v>
      </c>
      <c r="E18" s="88">
        <f>12240-D18</f>
        <v>9740</v>
      </c>
      <c r="F18" s="92"/>
      <c r="G18" s="91">
        <f t="shared" si="2"/>
        <v>12240</v>
      </c>
      <c r="H18" s="24"/>
      <c r="I18" s="24"/>
      <c r="P18" s="2"/>
      <c r="Q18" s="2"/>
    </row>
    <row r="19" spans="1:17" ht="43.5" x14ac:dyDescent="0.35">
      <c r="A19" s="110" t="s">
        <v>27</v>
      </c>
      <c r="B19" s="117" t="s">
        <v>84</v>
      </c>
      <c r="C19" s="113"/>
      <c r="D19" s="88">
        <v>1800</v>
      </c>
      <c r="E19" s="88">
        <v>7800</v>
      </c>
      <c r="F19" s="88"/>
      <c r="G19" s="91">
        <f t="shared" si="2"/>
        <v>9600</v>
      </c>
      <c r="H19" s="24"/>
      <c r="I19" s="24"/>
      <c r="P19" s="2"/>
      <c r="Q19" s="2"/>
    </row>
    <row r="20" spans="1:17" x14ac:dyDescent="0.35">
      <c r="A20" s="110" t="s">
        <v>28</v>
      </c>
      <c r="B20" s="118" t="s">
        <v>85</v>
      </c>
      <c r="C20" s="113">
        <v>0</v>
      </c>
      <c r="D20" s="88"/>
      <c r="E20" s="88">
        <v>1550</v>
      </c>
      <c r="F20" s="88">
        <v>1000</v>
      </c>
      <c r="G20" s="91">
        <f t="shared" si="2"/>
        <v>2550</v>
      </c>
      <c r="H20" s="24"/>
      <c r="I20" s="24"/>
      <c r="P20" s="2"/>
      <c r="Q20" s="2"/>
    </row>
    <row r="21" spans="1:17" ht="36.75" customHeight="1" x14ac:dyDescent="0.35">
      <c r="A21" s="110" t="s">
        <v>29</v>
      </c>
      <c r="B21" s="117" t="s">
        <v>86</v>
      </c>
      <c r="C21" s="113"/>
      <c r="D21" s="88"/>
      <c r="E21" s="88">
        <v>10892</v>
      </c>
      <c r="F21" s="88">
        <v>5000</v>
      </c>
      <c r="G21" s="91">
        <f t="shared" si="2"/>
        <v>15892</v>
      </c>
      <c r="H21" s="24"/>
      <c r="I21" s="35"/>
      <c r="K21" s="5"/>
      <c r="L21" s="5"/>
      <c r="P21" s="2"/>
      <c r="Q21" s="2"/>
    </row>
    <row r="22" spans="1:17" s="2" customFormat="1" ht="29" x14ac:dyDescent="0.35">
      <c r="A22" s="110" t="s">
        <v>30</v>
      </c>
      <c r="B22" s="117" t="s">
        <v>97</v>
      </c>
      <c r="C22" s="113"/>
      <c r="D22" s="88"/>
      <c r="E22" s="91">
        <v>1000</v>
      </c>
      <c r="F22" s="91">
        <v>2000</v>
      </c>
      <c r="G22" s="88">
        <f t="shared" si="2"/>
        <v>3000</v>
      </c>
      <c r="H22" s="24"/>
      <c r="I22" s="35"/>
      <c r="K22" s="10"/>
      <c r="L22" s="10"/>
    </row>
    <row r="23" spans="1:17" s="2" customFormat="1" ht="43.5" x14ac:dyDescent="0.35">
      <c r="A23" s="110" t="s">
        <v>31</v>
      </c>
      <c r="B23" s="117" t="s">
        <v>88</v>
      </c>
      <c r="C23" s="113"/>
      <c r="D23" s="88"/>
      <c r="E23" s="88">
        <v>2000</v>
      </c>
      <c r="F23" s="88">
        <v>1000</v>
      </c>
      <c r="G23" s="88">
        <f t="shared" si="2"/>
        <v>3000</v>
      </c>
      <c r="H23" s="24"/>
      <c r="I23" s="35"/>
      <c r="K23" s="10"/>
      <c r="L23" s="10"/>
    </row>
    <row r="24" spans="1:17" s="2" customFormat="1" ht="29" x14ac:dyDescent="0.35">
      <c r="A24" s="110" t="s">
        <v>32</v>
      </c>
      <c r="B24" s="117" t="s">
        <v>98</v>
      </c>
      <c r="C24" s="113"/>
      <c r="D24" s="88"/>
      <c r="E24" s="88">
        <v>400</v>
      </c>
      <c r="F24" s="91">
        <v>1200</v>
      </c>
      <c r="G24" s="88">
        <f t="shared" si="2"/>
        <v>1600</v>
      </c>
      <c r="H24" s="24"/>
      <c r="I24" s="35"/>
      <c r="K24" s="10"/>
      <c r="L24" s="10"/>
    </row>
    <row r="25" spans="1:17" s="2" customFormat="1" x14ac:dyDescent="0.35">
      <c r="A25" s="110" t="s">
        <v>33</v>
      </c>
      <c r="B25" s="119" t="s">
        <v>99</v>
      </c>
      <c r="C25" s="113">
        <f>2*500</f>
        <v>1000</v>
      </c>
      <c r="D25" s="88">
        <f>12*500</f>
        <v>6000</v>
      </c>
      <c r="E25" s="88">
        <f>12*500</f>
        <v>6000</v>
      </c>
      <c r="F25" s="88">
        <v>6000</v>
      </c>
      <c r="G25" s="88">
        <f>SUM(C25:F25)</f>
        <v>19000</v>
      </c>
      <c r="H25" s="24"/>
      <c r="I25" s="35"/>
      <c r="K25" s="10"/>
      <c r="L25" s="10"/>
    </row>
    <row r="26" spans="1:17" s="2" customFormat="1" x14ac:dyDescent="0.35">
      <c r="A26" s="110" t="s">
        <v>34</v>
      </c>
      <c r="B26" s="119" t="s">
        <v>114</v>
      </c>
      <c r="C26" s="113">
        <v>0</v>
      </c>
      <c r="D26" s="88">
        <v>1000</v>
      </c>
      <c r="E26" s="88">
        <v>1000</v>
      </c>
      <c r="F26" s="88">
        <v>1000</v>
      </c>
      <c r="G26" s="88">
        <f>SUM(C26:F26)</f>
        <v>3000</v>
      </c>
      <c r="H26" s="24"/>
      <c r="I26" s="35"/>
      <c r="K26" s="10"/>
      <c r="L26" s="10"/>
    </row>
    <row r="27" spans="1:17" s="2" customFormat="1" ht="29" x14ac:dyDescent="0.35">
      <c r="A27" s="110" t="s">
        <v>35</v>
      </c>
      <c r="B27" s="119" t="s">
        <v>75</v>
      </c>
      <c r="C27" s="114">
        <f>0.1*(SUM(C32:C40))</f>
        <v>1030</v>
      </c>
      <c r="D27" s="91">
        <f>0.1*(SUM(D32:D40))</f>
        <v>6180</v>
      </c>
      <c r="E27" s="91">
        <f>0.1*(SUM(E32:E40))</f>
        <v>5292</v>
      </c>
      <c r="F27" s="91">
        <f>0.1*(SUM(F32:F40))</f>
        <v>4968</v>
      </c>
      <c r="G27" s="88">
        <f>SUM(C27:F27)</f>
        <v>17470</v>
      </c>
      <c r="H27" s="24"/>
      <c r="I27" s="35"/>
      <c r="K27" s="10"/>
      <c r="L27" s="10"/>
    </row>
    <row r="28" spans="1:17" s="2" customFormat="1" ht="23" customHeight="1" x14ac:dyDescent="0.35">
      <c r="A28" s="22" t="s">
        <v>80</v>
      </c>
      <c r="B28" s="119" t="s">
        <v>76</v>
      </c>
      <c r="C28" s="113">
        <f>(0.1*SUM(C11:G13))/36*2</f>
        <v>618.88888888888891</v>
      </c>
      <c r="D28" s="88">
        <f>(0.1*SUM(C11:G13))/36*12</f>
        <v>3713.3333333333335</v>
      </c>
      <c r="E28" s="88">
        <f>(0.1*SUM(C11:G13))/36*12</f>
        <v>3713.3333333333335</v>
      </c>
      <c r="F28" s="88">
        <f>(0.1*SUM(C11:G13))/36*10</f>
        <v>3094.4444444444443</v>
      </c>
      <c r="G28" s="88">
        <f t="shared" ref="G28:G40" si="3">SUM(C28:F28)</f>
        <v>11140</v>
      </c>
      <c r="H28" s="87"/>
      <c r="I28" s="35"/>
      <c r="K28" s="10"/>
      <c r="L28" s="10"/>
    </row>
    <row r="29" spans="1:17" s="2" customFormat="1" ht="35.5" customHeight="1" x14ac:dyDescent="0.35">
      <c r="A29" s="111" t="s">
        <v>81</v>
      </c>
      <c r="B29" s="120" t="s">
        <v>115</v>
      </c>
      <c r="C29" s="93"/>
      <c r="D29" s="94">
        <v>7500</v>
      </c>
      <c r="E29" s="88">
        <v>5000</v>
      </c>
      <c r="F29" s="88">
        <v>5000</v>
      </c>
      <c r="G29" s="88">
        <f t="shared" si="3"/>
        <v>17500</v>
      </c>
      <c r="H29" s="24"/>
      <c r="I29" s="35"/>
      <c r="K29" s="10"/>
      <c r="L29" s="10"/>
    </row>
    <row r="30" spans="1:17" ht="29.5" thickBot="1" x14ac:dyDescent="0.4">
      <c r="A30" s="112" t="s">
        <v>87</v>
      </c>
      <c r="B30" s="121" t="s">
        <v>83</v>
      </c>
      <c r="C30" s="93"/>
      <c r="D30" s="95"/>
      <c r="E30" s="95">
        <v>3500</v>
      </c>
      <c r="F30" s="95">
        <v>1750</v>
      </c>
      <c r="G30" s="88">
        <f t="shared" si="3"/>
        <v>5250</v>
      </c>
      <c r="H30" s="24"/>
      <c r="I30" s="24"/>
      <c r="P30" s="2"/>
      <c r="Q30" s="2"/>
    </row>
    <row r="31" spans="1:17" s="4" customFormat="1" x14ac:dyDescent="0.35">
      <c r="A31" s="37" t="s">
        <v>36</v>
      </c>
      <c r="B31" s="38" t="s">
        <v>55</v>
      </c>
      <c r="C31" s="96">
        <f>SUM(C32:C40)</f>
        <v>10300</v>
      </c>
      <c r="D31" s="97">
        <f>SUM(D32:D40)</f>
        <v>61800</v>
      </c>
      <c r="E31" s="97">
        <f>SUM(E32:E40)</f>
        <v>52920</v>
      </c>
      <c r="F31" s="97">
        <f>SUM(F32:F40)</f>
        <v>49680</v>
      </c>
      <c r="G31" s="97">
        <f>SUM(C31:F31)</f>
        <v>174700</v>
      </c>
      <c r="H31" s="79"/>
      <c r="I31" s="39"/>
    </row>
    <row r="32" spans="1:17" s="4" customFormat="1" x14ac:dyDescent="0.35">
      <c r="A32" s="22" t="s">
        <v>37</v>
      </c>
      <c r="B32" s="40" t="str">
        <f>Personalkosten!B5</f>
        <v>Projektmanagement</v>
      </c>
      <c r="C32" s="93">
        <f>Personalkosten!$D$4*Personalkosten!C5*Personalkosten!D5</f>
        <v>2000</v>
      </c>
      <c r="D32" s="93">
        <f>Personalkosten!$E$4*Personalkosten!C5*Personalkosten!E5</f>
        <v>12000</v>
      </c>
      <c r="E32" s="89">
        <f>Personalkosten!$F$4*Personalkosten!C5*Personalkosten!F5</f>
        <v>9600</v>
      </c>
      <c r="F32" s="89">
        <f>Personalkosten!$G$4*Personalkosten!C5*Personalkosten!G5</f>
        <v>9600</v>
      </c>
      <c r="G32" s="88">
        <f t="shared" si="3"/>
        <v>33200</v>
      </c>
      <c r="H32" s="39"/>
      <c r="I32" s="39"/>
    </row>
    <row r="33" spans="1:13" x14ac:dyDescent="0.35">
      <c r="A33" s="41" t="s">
        <v>38</v>
      </c>
      <c r="B33" s="40" t="str">
        <f>Personalkosten!B6</f>
        <v>Projektmitarbeiter*in (Wirtschaft)</v>
      </c>
      <c r="C33" s="93">
        <f>Personalkosten!$D$4*Personalkosten!C6*Personalkosten!D6</f>
        <v>1600</v>
      </c>
      <c r="D33" s="93">
        <f>Personalkosten!$E$4*Personalkosten!C6*Personalkosten!E6</f>
        <v>9600</v>
      </c>
      <c r="E33" s="89">
        <f>Personalkosten!$F$4*Personalkosten!C6*Personalkosten!F6</f>
        <v>9600</v>
      </c>
      <c r="F33" s="89">
        <f>Personalkosten!$G$4*Personalkosten!C6*Personalkosten!G6</f>
        <v>9600</v>
      </c>
      <c r="G33" s="88">
        <f t="shared" si="3"/>
        <v>30400</v>
      </c>
      <c r="H33" s="35"/>
      <c r="I33" s="35"/>
    </row>
    <row r="34" spans="1:13" x14ac:dyDescent="0.35">
      <c r="A34" s="41" t="s">
        <v>39</v>
      </c>
      <c r="B34" s="40" t="str">
        <f>Personalkosten!B7</f>
        <v>Projektmitarbeiter*in (Biodiverisität)</v>
      </c>
      <c r="C34" s="93">
        <f>Personalkosten!$D$4*Personalkosten!C7*Personalkosten!D7</f>
        <v>1600</v>
      </c>
      <c r="D34" s="93">
        <f>Personalkosten!$E$4*Personalkosten!C7*Personalkosten!E7</f>
        <v>9600</v>
      </c>
      <c r="E34" s="89">
        <f>Personalkosten!$F$4*Personalkosten!C7*Personalkosten!F7</f>
        <v>9600</v>
      </c>
      <c r="F34" s="89">
        <f>Personalkosten!$G$4*Personalkosten!C7*Personalkosten!G7</f>
        <v>9600</v>
      </c>
      <c r="G34" s="88">
        <f t="shared" si="3"/>
        <v>30400</v>
      </c>
      <c r="H34" s="35"/>
      <c r="I34" s="35"/>
    </row>
    <row r="35" spans="1:13" s="2" customFormat="1" x14ac:dyDescent="0.35">
      <c r="A35" s="41" t="s">
        <v>40</v>
      </c>
      <c r="B35" s="82" t="str">
        <f>Personalkosten!B8</f>
        <v>Technik/Logistik/Veranstaltungen</v>
      </c>
      <c r="C35" s="93">
        <f>Personalkosten!$D$4*Personalkosten!C8*Personalkosten!D8</f>
        <v>800</v>
      </c>
      <c r="D35" s="93">
        <f>Personalkosten!$E$4*Personalkosten!C8*Personalkosten!E8</f>
        <v>4800</v>
      </c>
      <c r="E35" s="89">
        <f>Personalkosten!$F$4*Personalkosten!C8*Personalkosten!F8</f>
        <v>3840</v>
      </c>
      <c r="F35" s="89">
        <f>Personalkosten!$G$4*Personalkosten!C8*Personalkosten!G8</f>
        <v>3840</v>
      </c>
      <c r="G35" s="88">
        <f t="shared" si="3"/>
        <v>13280</v>
      </c>
      <c r="H35" s="35"/>
      <c r="I35" s="35"/>
    </row>
    <row r="36" spans="1:13" s="2" customFormat="1" x14ac:dyDescent="0.35">
      <c r="A36" s="41" t="s">
        <v>41</v>
      </c>
      <c r="B36" s="40" t="str">
        <f>Personalkosten!B9</f>
        <v>Finanzen</v>
      </c>
      <c r="C36" s="93">
        <f>Personalkosten!$D$4*Personalkosten!C9*Personalkosten!D9</f>
        <v>900</v>
      </c>
      <c r="D36" s="93">
        <f>Personalkosten!$E$4*Personalkosten!C9*Personalkosten!E9</f>
        <v>5400</v>
      </c>
      <c r="E36" s="89">
        <f>Personalkosten!$F$4*Personalkosten!C9*Personalkosten!F9</f>
        <v>5400</v>
      </c>
      <c r="F36" s="89">
        <f>Personalkosten!$G$4*Personalkosten!C9*Personalkosten!G9</f>
        <v>5400</v>
      </c>
      <c r="G36" s="88">
        <f t="shared" si="3"/>
        <v>17100</v>
      </c>
      <c r="H36" s="35"/>
      <c r="I36" s="35"/>
    </row>
    <row r="37" spans="1:13" s="2" customFormat="1" x14ac:dyDescent="0.35">
      <c r="A37" s="41" t="s">
        <v>42</v>
      </c>
      <c r="B37" s="40" t="str">
        <f>Personalkosten!B10</f>
        <v>Landwirtschaftsfachkraft</v>
      </c>
      <c r="C37" s="93">
        <f>Personalkosten!$D$4*Personalkosten!C10*Personalkosten!D10</f>
        <v>1000</v>
      </c>
      <c r="D37" s="93">
        <f>Personalkosten!$E$4*Personalkosten!C10*Personalkosten!E10</f>
        <v>6000</v>
      </c>
      <c r="E37" s="89">
        <f>Personalkosten!$F$4*Personalkosten!C10*Personalkosten!F10</f>
        <v>4800</v>
      </c>
      <c r="F37" s="89">
        <f>Personalkosten!$G$4*Personalkosten!C10*Personalkosten!G10</f>
        <v>3000</v>
      </c>
      <c r="G37" s="88">
        <f t="shared" si="3"/>
        <v>14800</v>
      </c>
      <c r="H37" s="35"/>
      <c r="I37" s="35"/>
    </row>
    <row r="38" spans="1:13" s="2" customFormat="1" x14ac:dyDescent="0.35">
      <c r="A38" s="41" t="s">
        <v>43</v>
      </c>
      <c r="B38" s="40" t="str">
        <f>Personalkosten!B11</f>
        <v xml:space="preserve">landwirtschaftl. Assistenz 1  </v>
      </c>
      <c r="C38" s="93">
        <f>Personalkosten!$D$4*Personalkosten!C11*Personalkosten!D11</f>
        <v>800</v>
      </c>
      <c r="D38" s="93">
        <f>Personalkosten!$E$4*Personalkosten!C11*Personalkosten!E11</f>
        <v>4800</v>
      </c>
      <c r="E38" s="89">
        <f>Personalkosten!$F$4*Personalkosten!C11*Personalkosten!F11</f>
        <v>3840</v>
      </c>
      <c r="F38" s="89">
        <f>Personalkosten!$G$4*Personalkosten!C11*Personalkosten!G11</f>
        <v>3840</v>
      </c>
      <c r="G38" s="88">
        <f t="shared" si="3"/>
        <v>13280</v>
      </c>
      <c r="H38" s="35"/>
      <c r="I38" s="35"/>
    </row>
    <row r="39" spans="1:13" s="2" customFormat="1" x14ac:dyDescent="0.35">
      <c r="A39" s="41" t="s">
        <v>44</v>
      </c>
      <c r="B39" s="40" t="str">
        <f>Personalkosten!B12</f>
        <v>landwirtschaftl. Assistenz 2</v>
      </c>
      <c r="C39" s="93">
        <f>Personalkosten!$D$4*Personalkosten!C12*Personalkosten!D12</f>
        <v>800</v>
      </c>
      <c r="D39" s="93">
        <f>Personalkosten!$E$4*Personalkosten!C12*Personalkosten!E12</f>
        <v>4800</v>
      </c>
      <c r="E39" s="89">
        <f>Personalkosten!$F$4*Personalkosten!C12*Personalkosten!F12</f>
        <v>3840</v>
      </c>
      <c r="F39" s="89">
        <f>Personalkosten!$G$4*Personalkosten!C12*Personalkosten!G12</f>
        <v>2400</v>
      </c>
      <c r="G39" s="88">
        <f t="shared" si="3"/>
        <v>11840</v>
      </c>
      <c r="H39" s="35"/>
      <c r="I39" s="35"/>
    </row>
    <row r="40" spans="1:13" s="2" customFormat="1" ht="15" thickBot="1" x14ac:dyDescent="0.4">
      <c r="A40" s="41" t="s">
        <v>92</v>
      </c>
      <c r="B40" s="40" t="str">
        <f>Personalkosten!B13</f>
        <v>landwirtschaftl. Assistenz 3</v>
      </c>
      <c r="C40" s="93">
        <f>Personalkosten!$D$4*Personalkosten!C13*Personalkosten!D13</f>
        <v>800</v>
      </c>
      <c r="D40" s="93">
        <f>Personalkosten!$E$4*Personalkosten!C13*Personalkosten!E13</f>
        <v>4800</v>
      </c>
      <c r="E40" s="89">
        <f>Personalkosten!$F$4*Personalkosten!C13*Personalkosten!F13</f>
        <v>2400</v>
      </c>
      <c r="F40" s="89">
        <f>Personalkosten!$G$4*Personalkosten!C13*Personalkosten!G13</f>
        <v>2400</v>
      </c>
      <c r="G40" s="88">
        <f t="shared" si="3"/>
        <v>10400</v>
      </c>
      <c r="H40" s="35"/>
      <c r="I40" s="35"/>
    </row>
    <row r="41" spans="1:13" s="4" customFormat="1" x14ac:dyDescent="0.35">
      <c r="A41" s="30" t="s">
        <v>45</v>
      </c>
      <c r="B41" s="43" t="s">
        <v>6</v>
      </c>
      <c r="C41" s="97">
        <f>SUM(C42)</f>
        <v>0</v>
      </c>
      <c r="D41" s="97">
        <f t="shared" ref="D41:F41" si="4">SUM(D42)</f>
        <v>1900</v>
      </c>
      <c r="E41" s="97">
        <f t="shared" si="4"/>
        <v>1900</v>
      </c>
      <c r="F41" s="97">
        <f t="shared" si="4"/>
        <v>1900</v>
      </c>
      <c r="G41" s="97">
        <f>SUM(C41:F41)</f>
        <v>5700</v>
      </c>
      <c r="H41" s="39"/>
      <c r="I41" s="39"/>
      <c r="L41" s="6"/>
      <c r="M41" s="6"/>
    </row>
    <row r="42" spans="1:13" s="2" customFormat="1" ht="15" thickBot="1" x14ac:dyDescent="0.4">
      <c r="A42" s="42" t="s">
        <v>46</v>
      </c>
      <c r="B42" s="44" t="s">
        <v>58</v>
      </c>
      <c r="C42" s="98">
        <v>0</v>
      </c>
      <c r="D42" s="98">
        <v>1900</v>
      </c>
      <c r="E42" s="98">
        <v>1900</v>
      </c>
      <c r="F42" s="98">
        <v>1900</v>
      </c>
      <c r="G42" s="98">
        <f>SUM(C42:F42)</f>
        <v>5700</v>
      </c>
      <c r="H42" s="66"/>
      <c r="I42" s="35"/>
    </row>
    <row r="43" spans="1:13" s="4" customFormat="1" x14ac:dyDescent="0.35">
      <c r="A43" s="30" t="s">
        <v>48</v>
      </c>
      <c r="B43" s="43" t="s">
        <v>56</v>
      </c>
      <c r="C43" s="97">
        <f>SUM(C44:C47)</f>
        <v>0</v>
      </c>
      <c r="D43" s="97">
        <f t="shared" ref="D43:F43" si="5">SUM(D44:D47)</f>
        <v>0</v>
      </c>
      <c r="E43" s="97">
        <f t="shared" si="5"/>
        <v>0</v>
      </c>
      <c r="F43" s="97">
        <f t="shared" si="5"/>
        <v>0</v>
      </c>
      <c r="G43" s="97">
        <f>SUM(C43:F43)</f>
        <v>0</v>
      </c>
      <c r="H43" s="39"/>
      <c r="I43" s="39"/>
      <c r="L43" s="7"/>
      <c r="M43" s="7"/>
    </row>
    <row r="44" spans="1:13" s="2" customFormat="1" x14ac:dyDescent="0.35">
      <c r="A44" s="45" t="s">
        <v>49</v>
      </c>
      <c r="B44" s="46" t="s">
        <v>57</v>
      </c>
      <c r="C44" s="95"/>
      <c r="D44" s="95"/>
      <c r="E44" s="95"/>
      <c r="F44" s="95"/>
      <c r="G44" s="100"/>
      <c r="H44" s="35"/>
      <c r="I44" s="35"/>
    </row>
    <row r="45" spans="1:13" s="2" customFormat="1" x14ac:dyDescent="0.35">
      <c r="A45" s="45" t="s">
        <v>50</v>
      </c>
      <c r="B45" s="46"/>
      <c r="C45" s="95"/>
      <c r="D45" s="95"/>
      <c r="E45" s="95"/>
      <c r="F45" s="95"/>
      <c r="G45" s="100"/>
      <c r="H45" s="35"/>
      <c r="I45" s="35"/>
    </row>
    <row r="46" spans="1:13" s="2" customFormat="1" x14ac:dyDescent="0.35">
      <c r="A46" s="45" t="s">
        <v>51</v>
      </c>
      <c r="B46" s="46"/>
      <c r="C46" s="95"/>
      <c r="D46" s="95"/>
      <c r="E46" s="95"/>
      <c r="F46" s="95"/>
      <c r="G46" s="100"/>
      <c r="H46" s="35"/>
      <c r="I46" s="35"/>
    </row>
    <row r="47" spans="1:13" s="2" customFormat="1" ht="15" thickBot="1" x14ac:dyDescent="0.4">
      <c r="A47" s="42" t="s">
        <v>52</v>
      </c>
      <c r="B47" s="44"/>
      <c r="C47" s="98"/>
      <c r="D47" s="98"/>
      <c r="E47" s="98"/>
      <c r="F47" s="98"/>
      <c r="G47" s="99"/>
      <c r="H47" s="35"/>
      <c r="I47" s="35"/>
    </row>
    <row r="48" spans="1:13" x14ac:dyDescent="0.35">
      <c r="A48" s="47"/>
      <c r="B48" s="48" t="s">
        <v>7</v>
      </c>
      <c r="C48" s="101">
        <f>C43+C41+C31+C14+C9</f>
        <v>81408.888888888891</v>
      </c>
      <c r="D48" s="101">
        <f>D43+D41+D31+D14+D9</f>
        <v>170585.33333333331</v>
      </c>
      <c r="E48" s="101">
        <f>E43+E41+E31+E14+E9</f>
        <v>135907.33333333331</v>
      </c>
      <c r="F48" s="101">
        <f>F43+F41+F31+F14+F9</f>
        <v>83592.444444444438</v>
      </c>
      <c r="G48" s="101">
        <f>SUM(C48:F48)</f>
        <v>471493.99999999994</v>
      </c>
      <c r="H48" s="39"/>
      <c r="I48" s="39"/>
      <c r="L48" s="6"/>
      <c r="M48" s="6"/>
    </row>
    <row r="49" spans="1:14" x14ac:dyDescent="0.35">
      <c r="A49" s="49"/>
      <c r="B49" s="50" t="s">
        <v>8</v>
      </c>
      <c r="C49" s="102">
        <f>SUM(C48)*0.035</f>
        <v>2849.3111111111116</v>
      </c>
      <c r="D49" s="102">
        <f>SUM(D48)*0.035</f>
        <v>5970.4866666666667</v>
      </c>
      <c r="E49" s="102">
        <f>SUM(E48)*0.035</f>
        <v>4756.7566666666662</v>
      </c>
      <c r="F49" s="102">
        <f>SUM(F48)*0.035</f>
        <v>2925.7355555555555</v>
      </c>
      <c r="G49" s="102">
        <f>SUM(C49:F49)</f>
        <v>16502.29</v>
      </c>
      <c r="H49" s="39"/>
      <c r="I49" s="39"/>
      <c r="K49" s="6"/>
      <c r="L49" s="6"/>
      <c r="M49" s="6"/>
    </row>
    <row r="50" spans="1:14" x14ac:dyDescent="0.35">
      <c r="A50" s="51"/>
      <c r="B50" s="52" t="s">
        <v>9</v>
      </c>
      <c r="C50" s="103">
        <f>C49+C48</f>
        <v>84258.2</v>
      </c>
      <c r="D50" s="105">
        <f>D49+D48</f>
        <v>176555.81999999998</v>
      </c>
      <c r="E50" s="103">
        <f>E49+E48</f>
        <v>140664.08999999997</v>
      </c>
      <c r="F50" s="103">
        <f>F49+F48</f>
        <v>86518.18</v>
      </c>
      <c r="G50" s="103">
        <f t="shared" ref="G50:G53" si="6">SUM(C50:F50)</f>
        <v>487996.28999999992</v>
      </c>
      <c r="H50" s="35"/>
      <c r="I50" s="35"/>
      <c r="K50" s="10"/>
      <c r="L50" s="10"/>
      <c r="M50" s="10"/>
    </row>
    <row r="51" spans="1:14" s="2" customFormat="1" x14ac:dyDescent="0.35">
      <c r="A51" s="106"/>
      <c r="B51" s="107" t="s">
        <v>96</v>
      </c>
      <c r="C51" s="108">
        <v>90000</v>
      </c>
      <c r="D51" s="108">
        <v>150000</v>
      </c>
      <c r="E51" s="108">
        <v>150000</v>
      </c>
      <c r="F51" s="108">
        <v>100000</v>
      </c>
      <c r="G51" s="109">
        <f t="shared" si="6"/>
        <v>490000</v>
      </c>
      <c r="H51" s="35"/>
      <c r="I51" s="35"/>
      <c r="K51" s="10"/>
      <c r="L51" s="10"/>
      <c r="M51" s="10"/>
    </row>
    <row r="52" spans="1:14" s="4" customFormat="1" x14ac:dyDescent="0.35">
      <c r="A52" s="49"/>
      <c r="B52" s="50" t="s">
        <v>10</v>
      </c>
      <c r="C52" s="102">
        <f>SUM(C50)*0.1</f>
        <v>8425.82</v>
      </c>
      <c r="D52" s="102">
        <f>SUM(D50)*0.1</f>
        <v>17655.581999999999</v>
      </c>
      <c r="E52" s="102">
        <f>SUM(E50)*0.1</f>
        <v>14066.408999999998</v>
      </c>
      <c r="F52" s="102">
        <f>SUM(F50)*0.1</f>
        <v>8651.8179999999993</v>
      </c>
      <c r="G52" s="102">
        <f t="shared" si="6"/>
        <v>48799.628999999994</v>
      </c>
      <c r="H52" s="39"/>
      <c r="I52" s="39"/>
      <c r="K52" s="6"/>
      <c r="L52" s="6"/>
      <c r="M52" s="6"/>
    </row>
    <row r="53" spans="1:14" ht="15" thickBot="1" x14ac:dyDescent="0.4">
      <c r="A53" s="53"/>
      <c r="B53" s="54" t="s">
        <v>11</v>
      </c>
      <c r="C53" s="104">
        <f>C52+C50</f>
        <v>92684.01999999999</v>
      </c>
      <c r="D53" s="104">
        <f>D52+D50</f>
        <v>194211.40199999997</v>
      </c>
      <c r="E53" s="130">
        <f>E52+E50</f>
        <v>154730.49899999995</v>
      </c>
      <c r="F53" s="104">
        <f>F52+F50</f>
        <v>95169.997999999992</v>
      </c>
      <c r="G53" s="104">
        <f t="shared" si="6"/>
        <v>536795.91899999988</v>
      </c>
      <c r="K53" s="6"/>
      <c r="L53" s="6"/>
      <c r="M53" s="6"/>
    </row>
    <row r="54" spans="1:14" s="4" customFormat="1" x14ac:dyDescent="0.35">
      <c r="A54" s="56"/>
      <c r="B54" s="58" t="s">
        <v>47</v>
      </c>
      <c r="C54" s="59"/>
      <c r="D54" s="59"/>
      <c r="E54" s="59"/>
      <c r="F54" s="59"/>
      <c r="G54" s="60" t="s">
        <v>2</v>
      </c>
      <c r="H54" s="39"/>
      <c r="I54" s="39"/>
      <c r="K54" s="7"/>
      <c r="L54" s="7"/>
      <c r="M54" s="7"/>
      <c r="N54" s="7"/>
    </row>
    <row r="55" spans="1:14" s="4" customFormat="1" x14ac:dyDescent="0.35">
      <c r="A55" s="56"/>
      <c r="B55" s="60" t="s">
        <v>60</v>
      </c>
      <c r="C55" s="81">
        <f>(C52+C42)*0.25</f>
        <v>2106.4549999999999</v>
      </c>
      <c r="D55" s="81">
        <f>(D52+D42)*0.25</f>
        <v>4888.8954999999996</v>
      </c>
      <c r="E55" s="81">
        <f>(E52+E42)*0.25</f>
        <v>3991.6022499999995</v>
      </c>
      <c r="F55" s="81">
        <f>(F52+F42)*0.25</f>
        <v>2637.9544999999998</v>
      </c>
      <c r="G55" s="80">
        <f>SUM(C55:F55)</f>
        <v>13624.907249999998</v>
      </c>
      <c r="H55" s="137">
        <f>G55/G58</f>
        <v>2.5381912879259429E-2</v>
      </c>
      <c r="I55" s="39"/>
      <c r="K55" s="7"/>
      <c r="L55" s="7"/>
      <c r="M55" s="7"/>
      <c r="N55" s="7"/>
    </row>
    <row r="56" spans="1:14" s="4" customFormat="1" x14ac:dyDescent="0.35">
      <c r="A56" s="56"/>
      <c r="B56" s="60" t="s">
        <v>61</v>
      </c>
      <c r="C56" s="81">
        <f>(C50-C41)*0.25</f>
        <v>21064.55</v>
      </c>
      <c r="D56" s="81">
        <f>(D50-D41)*0.25</f>
        <v>43663.954999999994</v>
      </c>
      <c r="E56" s="81">
        <f>(E50-E41)*0.25</f>
        <v>34691.022499999992</v>
      </c>
      <c r="F56" s="81">
        <f>(F50-F41)*0.25</f>
        <v>21154.544999999998</v>
      </c>
      <c r="G56" s="80">
        <f>SUM(C56:F56)</f>
        <v>120574.07249999998</v>
      </c>
      <c r="H56" s="137">
        <f>G56/G58</f>
        <v>0.22461808712074058</v>
      </c>
      <c r="I56" s="39"/>
      <c r="K56" s="7"/>
      <c r="L56" s="7"/>
      <c r="M56" s="7"/>
      <c r="N56" s="7"/>
    </row>
    <row r="57" spans="1:14" s="4" customFormat="1" x14ac:dyDescent="0.35">
      <c r="A57" s="56"/>
      <c r="B57" s="60" t="s">
        <v>94</v>
      </c>
      <c r="C57" s="122">
        <f>SUM(C53)*0.75</f>
        <v>69513.014999999985</v>
      </c>
      <c r="D57" s="122">
        <f t="shared" ref="D57:G57" si="7">SUM(D53)*0.75</f>
        <v>145658.55149999997</v>
      </c>
      <c r="E57" s="131">
        <f t="shared" si="7"/>
        <v>116047.87424999996</v>
      </c>
      <c r="F57" s="122">
        <f t="shared" si="7"/>
        <v>71377.498499999987</v>
      </c>
      <c r="G57" s="123">
        <f t="shared" si="7"/>
        <v>402596.93924999994</v>
      </c>
      <c r="H57" s="55" t="s">
        <v>95</v>
      </c>
      <c r="I57" s="55" t="s">
        <v>59</v>
      </c>
      <c r="K57" s="7"/>
      <c r="L57" s="7"/>
      <c r="M57" s="7"/>
      <c r="N57" s="7"/>
    </row>
    <row r="58" spans="1:14" s="4" customFormat="1" x14ac:dyDescent="0.35">
      <c r="A58" s="56"/>
      <c r="B58" s="60" t="s">
        <v>16</v>
      </c>
      <c r="C58" s="81">
        <f>SUM(C55:C57)</f>
        <v>92684.01999999999</v>
      </c>
      <c r="D58" s="136">
        <f t="shared" ref="D58:F58" si="8">SUM(D55:D57)</f>
        <v>194211.40199999997</v>
      </c>
      <c r="E58" s="81">
        <f t="shared" si="8"/>
        <v>154730.49899999995</v>
      </c>
      <c r="F58" s="81">
        <f t="shared" si="8"/>
        <v>95169.997999999992</v>
      </c>
      <c r="G58" s="81">
        <f>SUM(C58:F58)</f>
        <v>536795.91899999988</v>
      </c>
      <c r="H58" s="32"/>
      <c r="I58" s="32"/>
      <c r="K58" s="7"/>
      <c r="L58" s="7"/>
      <c r="M58" s="7"/>
      <c r="N58" s="7"/>
    </row>
    <row r="59" spans="1:14" s="4" customFormat="1" x14ac:dyDescent="0.35">
      <c r="A59" s="11"/>
      <c r="B59" s="12"/>
      <c r="C59" s="13"/>
      <c r="D59" s="13"/>
      <c r="E59" s="13"/>
      <c r="F59" s="13"/>
      <c r="G59" s="13"/>
      <c r="H59" s="7"/>
      <c r="I59" s="7"/>
      <c r="K59" s="7"/>
      <c r="L59" s="7"/>
      <c r="M59" s="7"/>
    </row>
    <row r="60" spans="1:14" s="3" customFormat="1" ht="15" thickBot="1" x14ac:dyDescent="0.4">
      <c r="A60" s="11"/>
      <c r="B60" s="14" t="s">
        <v>12</v>
      </c>
      <c r="C60" s="15"/>
      <c r="D60" s="16"/>
      <c r="E60" s="16"/>
      <c r="F60" s="16"/>
      <c r="G60" s="16"/>
      <c r="H60" s="16"/>
      <c r="I60" s="6"/>
      <c r="J60" s="6"/>
      <c r="K60" s="6"/>
      <c r="L60" s="6"/>
      <c r="M60" s="6"/>
    </row>
    <row r="61" spans="1:14" x14ac:dyDescent="0.35">
      <c r="A61" s="11"/>
      <c r="B61" s="17" t="s">
        <v>3</v>
      </c>
      <c r="C61" s="14" t="s">
        <v>13</v>
      </c>
      <c r="D61" s="8"/>
      <c r="E61" s="8"/>
      <c r="F61" s="8"/>
      <c r="G61" s="8"/>
      <c r="H61" s="8"/>
      <c r="I61" s="6"/>
      <c r="J61" s="6"/>
      <c r="K61" s="6"/>
      <c r="L61" s="6"/>
      <c r="M61" s="6"/>
    </row>
    <row r="62" spans="1:14" x14ac:dyDescent="0.35">
      <c r="A62" s="11"/>
      <c r="B62" s="18" t="s">
        <v>4</v>
      </c>
      <c r="C62" s="6" t="s">
        <v>14</v>
      </c>
      <c r="D62" s="9"/>
      <c r="E62" s="9"/>
      <c r="F62" s="9"/>
      <c r="G62" s="9"/>
      <c r="H62" s="9"/>
      <c r="I62" s="6"/>
      <c r="J62" s="6"/>
      <c r="K62" s="6"/>
      <c r="L62" s="6"/>
      <c r="M62" s="6"/>
    </row>
    <row r="63" spans="1:14" ht="15" thickBot="1" x14ac:dyDescent="0.4">
      <c r="A63" s="11"/>
      <c r="B63" s="21" t="s">
        <v>5</v>
      </c>
      <c r="C63" s="6" t="s">
        <v>15</v>
      </c>
      <c r="D63" s="9"/>
      <c r="E63" s="9"/>
      <c r="F63" s="9"/>
      <c r="G63" s="9"/>
      <c r="H63" s="9"/>
      <c r="I63" s="6"/>
      <c r="J63" s="6"/>
      <c r="K63" s="6"/>
      <c r="L63" s="6"/>
      <c r="M63" s="6"/>
    </row>
    <row r="68" spans="7:7" x14ac:dyDescent="0.35">
      <c r="G68" s="81">
        <f>SUM(C68:F68)</f>
        <v>0</v>
      </c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B1" zoomScale="115" zoomScaleNormal="115" workbookViewId="0">
      <selection activeCell="D5" sqref="D5"/>
    </sheetView>
  </sheetViews>
  <sheetFormatPr baseColWidth="10" defaultRowHeight="14.5" x14ac:dyDescent="0.35"/>
  <cols>
    <col min="1" max="1" width="24.7265625" style="2" customWidth="1"/>
    <col min="2" max="2" width="24.7265625" customWidth="1"/>
    <col min="3" max="3" width="15.26953125" customWidth="1"/>
    <col min="4" max="4" width="21.1796875" customWidth="1"/>
    <col min="5" max="5" width="14.453125" customWidth="1"/>
    <col min="6" max="6" width="15" customWidth="1"/>
    <col min="10" max="10" width="12.54296875" bestFit="1" customWidth="1"/>
  </cols>
  <sheetData>
    <row r="1" spans="1:11" ht="50.15" customHeight="1" x14ac:dyDescent="0.35">
      <c r="A1" s="63" t="s">
        <v>63</v>
      </c>
      <c r="B1" s="63" t="s">
        <v>63</v>
      </c>
      <c r="C1" s="135" t="s">
        <v>65</v>
      </c>
      <c r="D1" s="135" t="s">
        <v>66</v>
      </c>
      <c r="E1" s="135"/>
      <c r="F1" s="135"/>
      <c r="G1" s="135"/>
      <c r="H1" s="135" t="s">
        <v>67</v>
      </c>
    </row>
    <row r="2" spans="1:11" x14ac:dyDescent="0.35">
      <c r="A2" s="63" t="s">
        <v>64</v>
      </c>
      <c r="B2" s="63" t="s">
        <v>64</v>
      </c>
      <c r="C2" s="135"/>
      <c r="D2" s="135"/>
      <c r="E2" s="135"/>
      <c r="F2" s="135"/>
      <c r="G2" s="135"/>
      <c r="H2" s="135"/>
    </row>
    <row r="3" spans="1:11" ht="17.5" customHeight="1" x14ac:dyDescent="0.35">
      <c r="C3" s="65"/>
      <c r="D3" s="68">
        <v>2020</v>
      </c>
      <c r="E3" s="68">
        <v>2023</v>
      </c>
      <c r="F3" s="67">
        <v>2024</v>
      </c>
      <c r="G3" s="68">
        <v>2025</v>
      </c>
      <c r="H3" s="65"/>
    </row>
    <row r="4" spans="1:11" ht="43.5" x14ac:dyDescent="0.35">
      <c r="A4" s="10"/>
      <c r="B4" s="10"/>
      <c r="C4" s="64"/>
      <c r="D4" s="68">
        <v>2</v>
      </c>
      <c r="E4" s="68">
        <v>12</v>
      </c>
      <c r="F4" s="67">
        <v>12</v>
      </c>
      <c r="G4" s="68">
        <v>12</v>
      </c>
      <c r="H4" s="10"/>
      <c r="I4" s="125" t="s">
        <v>104</v>
      </c>
      <c r="J4" t="s">
        <v>91</v>
      </c>
    </row>
    <row r="5" spans="1:11" ht="21.65" customHeight="1" x14ac:dyDescent="0.35">
      <c r="A5" s="69" t="s">
        <v>103</v>
      </c>
      <c r="B5" s="69" t="s">
        <v>103</v>
      </c>
      <c r="C5" s="71">
        <v>1000</v>
      </c>
      <c r="D5" s="72">
        <v>1</v>
      </c>
      <c r="E5" s="70">
        <v>1</v>
      </c>
      <c r="F5" s="70">
        <v>0.8</v>
      </c>
      <c r="G5" s="70">
        <v>0.8</v>
      </c>
      <c r="H5" s="71">
        <f t="shared" ref="H5:H13" si="0">(2*C5*D5)+(12*C5*E5)+(12*C5*F5)+(12*C5*G5)</f>
        <v>33200</v>
      </c>
      <c r="I5" s="126">
        <f>(2*D5+12*E6+12*F5+12*G5)/38</f>
        <v>0.87368421052631584</v>
      </c>
      <c r="J5" s="75">
        <f>900*36</f>
        <v>32400</v>
      </c>
    </row>
    <row r="6" spans="1:11" ht="25" customHeight="1" x14ac:dyDescent="0.35">
      <c r="A6" s="132" t="s">
        <v>109</v>
      </c>
      <c r="B6" s="69" t="s">
        <v>68</v>
      </c>
      <c r="C6" s="71">
        <v>800</v>
      </c>
      <c r="D6" s="72">
        <v>1</v>
      </c>
      <c r="E6" s="72">
        <v>1</v>
      </c>
      <c r="F6" s="72">
        <v>1</v>
      </c>
      <c r="G6" s="72">
        <v>1</v>
      </c>
      <c r="H6" s="71">
        <f t="shared" si="0"/>
        <v>30400</v>
      </c>
      <c r="I6" s="126">
        <f t="shared" ref="I6:I13" si="1">(2*D6+12*E6+12*F6+12*G6)/38</f>
        <v>1</v>
      </c>
      <c r="J6" s="75">
        <f>800*36</f>
        <v>28800</v>
      </c>
    </row>
    <row r="7" spans="1:11" ht="30.65" customHeight="1" x14ac:dyDescent="0.35">
      <c r="A7" s="133"/>
      <c r="B7" s="69" t="s">
        <v>69</v>
      </c>
      <c r="C7" s="71">
        <v>800</v>
      </c>
      <c r="D7" s="70">
        <v>1</v>
      </c>
      <c r="E7" s="70">
        <v>1</v>
      </c>
      <c r="F7" s="70">
        <v>1</v>
      </c>
      <c r="G7" s="70">
        <v>1</v>
      </c>
      <c r="H7" s="71">
        <f t="shared" si="0"/>
        <v>30400</v>
      </c>
      <c r="I7" s="126">
        <f t="shared" si="1"/>
        <v>1</v>
      </c>
      <c r="J7" s="75">
        <f>800*36</f>
        <v>28800</v>
      </c>
    </row>
    <row r="8" spans="1:11" ht="35" customHeight="1" x14ac:dyDescent="0.35">
      <c r="A8" s="69" t="s">
        <v>110</v>
      </c>
      <c r="B8" s="69" t="s">
        <v>112</v>
      </c>
      <c r="C8" s="71">
        <v>400</v>
      </c>
      <c r="D8" s="70">
        <v>1</v>
      </c>
      <c r="E8" s="70">
        <v>1</v>
      </c>
      <c r="F8" s="70">
        <v>0.8</v>
      </c>
      <c r="G8" s="70">
        <v>0.8</v>
      </c>
      <c r="H8" s="71">
        <f t="shared" si="0"/>
        <v>13280</v>
      </c>
      <c r="I8" s="126">
        <f t="shared" si="1"/>
        <v>0.87368421052631584</v>
      </c>
      <c r="J8" s="75">
        <f>400*36</f>
        <v>14400</v>
      </c>
    </row>
    <row r="9" spans="1:11" s="2" customFormat="1" ht="25" customHeight="1" x14ac:dyDescent="0.35">
      <c r="A9" s="69" t="s">
        <v>110</v>
      </c>
      <c r="B9" s="69" t="s">
        <v>111</v>
      </c>
      <c r="C9" s="71">
        <v>450</v>
      </c>
      <c r="D9" s="70">
        <v>1</v>
      </c>
      <c r="E9" s="70">
        <v>1</v>
      </c>
      <c r="F9" s="70">
        <v>1</v>
      </c>
      <c r="G9" s="70">
        <v>1</v>
      </c>
      <c r="H9" s="71">
        <f t="shared" si="0"/>
        <v>17100</v>
      </c>
      <c r="I9" s="126">
        <f t="shared" si="1"/>
        <v>1</v>
      </c>
      <c r="J9" s="75">
        <f>400*36</f>
        <v>14400</v>
      </c>
    </row>
    <row r="10" spans="1:11" ht="17.5" customHeight="1" x14ac:dyDescent="0.35">
      <c r="A10" s="69" t="s">
        <v>70</v>
      </c>
      <c r="B10" s="69" t="s">
        <v>70</v>
      </c>
      <c r="C10" s="71">
        <v>500</v>
      </c>
      <c r="D10" s="70">
        <v>1</v>
      </c>
      <c r="E10" s="70">
        <v>1</v>
      </c>
      <c r="F10" s="70">
        <v>0.8</v>
      </c>
      <c r="G10" s="70">
        <v>0.5</v>
      </c>
      <c r="H10" s="71">
        <f t="shared" si="0"/>
        <v>14800</v>
      </c>
      <c r="I10" s="126">
        <f t="shared" si="1"/>
        <v>0.77894736842105272</v>
      </c>
      <c r="J10" s="75">
        <f>500*36</f>
        <v>18000</v>
      </c>
    </row>
    <row r="11" spans="1:11" ht="28.5" customHeight="1" x14ac:dyDescent="0.35">
      <c r="A11" s="132" t="s">
        <v>113</v>
      </c>
      <c r="B11" s="69" t="s">
        <v>71</v>
      </c>
      <c r="C11" s="71">
        <v>400</v>
      </c>
      <c r="D11" s="72">
        <v>1</v>
      </c>
      <c r="E11" s="72">
        <v>1</v>
      </c>
      <c r="F11" s="70">
        <v>0.8</v>
      </c>
      <c r="G11" s="70">
        <v>0.8</v>
      </c>
      <c r="H11" s="71">
        <f t="shared" si="0"/>
        <v>13280</v>
      </c>
      <c r="I11" s="126">
        <f t="shared" si="1"/>
        <v>0.87368421052631584</v>
      </c>
      <c r="J11" s="75">
        <f>400*36</f>
        <v>14400</v>
      </c>
    </row>
    <row r="12" spans="1:11" ht="28" customHeight="1" x14ac:dyDescent="0.35">
      <c r="A12" s="134"/>
      <c r="B12" s="69" t="s">
        <v>90</v>
      </c>
      <c r="C12" s="71">
        <v>400</v>
      </c>
      <c r="D12" s="72">
        <v>1</v>
      </c>
      <c r="E12" s="72">
        <v>1</v>
      </c>
      <c r="F12" s="70">
        <v>0.8</v>
      </c>
      <c r="G12" s="70">
        <v>0.5</v>
      </c>
      <c r="H12" s="71">
        <f t="shared" si="0"/>
        <v>11840</v>
      </c>
      <c r="I12" s="126">
        <f t="shared" si="1"/>
        <v>0.77894736842105272</v>
      </c>
      <c r="J12" s="75">
        <f>400*36</f>
        <v>14400</v>
      </c>
    </row>
    <row r="13" spans="1:11" ht="15" thickBot="1" x14ac:dyDescent="0.4">
      <c r="A13" s="133"/>
      <c r="B13" s="69" t="s">
        <v>89</v>
      </c>
      <c r="C13" s="71">
        <v>400</v>
      </c>
      <c r="D13" s="72">
        <v>1</v>
      </c>
      <c r="E13" s="72">
        <v>1</v>
      </c>
      <c r="F13" s="73">
        <v>0.5</v>
      </c>
      <c r="G13" s="73">
        <v>0.5</v>
      </c>
      <c r="H13" s="77">
        <f t="shared" si="0"/>
        <v>10400</v>
      </c>
      <c r="I13" s="126">
        <f t="shared" si="1"/>
        <v>0.68421052631578949</v>
      </c>
      <c r="J13" s="75">
        <v>0</v>
      </c>
    </row>
    <row r="14" spans="1:11" ht="15" thickBot="1" x14ac:dyDescent="0.4">
      <c r="H14" s="78">
        <f>SUM(H5:H13)</f>
        <v>174700</v>
      </c>
      <c r="I14" s="127"/>
      <c r="J14" s="74">
        <f>SUM(J5:J13)</f>
        <v>165600</v>
      </c>
      <c r="K14" s="76">
        <f>H14-J14</f>
        <v>9100</v>
      </c>
    </row>
  </sheetData>
  <mergeCells count="8">
    <mergeCell ref="A6:A7"/>
    <mergeCell ref="A11:A13"/>
    <mergeCell ref="H1:H2"/>
    <mergeCell ref="C1:C2"/>
    <mergeCell ref="D1:D2"/>
    <mergeCell ref="E1:E2"/>
    <mergeCell ref="F1:F2"/>
    <mergeCell ref="G1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BMZ Budget</vt:lpstr>
      <vt:lpstr>Personalkosten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Hayer</dc:creator>
  <cp:lastModifiedBy>Alena Hayer</cp:lastModifiedBy>
  <cp:revision>1</cp:revision>
  <cp:lastPrinted>2018-11-09T12:12:00Z</cp:lastPrinted>
  <dcterms:created xsi:type="dcterms:W3CDTF">2015-09-14T12:59:13Z</dcterms:created>
  <dcterms:modified xsi:type="dcterms:W3CDTF">2022-05-13T07:47:24Z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